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70" windowWidth="19320" windowHeight="8535" activeTab="0"/>
  </bookViews>
  <sheets>
    <sheet name="Грузики балансировочные" sheetId="1" r:id="rId1"/>
  </sheets>
  <definedNames/>
  <calcPr fullCalcOnLoad="1" fullPrecision="0"/>
</workbook>
</file>

<file path=xl/sharedStrings.xml><?xml version="1.0" encoding="utf-8"?>
<sst xmlns="http://schemas.openxmlformats.org/spreadsheetml/2006/main" count="207" uniqueCount="151">
  <si>
    <t>Артикул</t>
  </si>
  <si>
    <t>Описание</t>
  </si>
  <si>
    <t>Грузики для стальных дисков (со скобой)</t>
  </si>
  <si>
    <t>Грузики для литых дисков (со скобой)</t>
  </si>
  <si>
    <t>Грузики для грузовых дисков</t>
  </si>
  <si>
    <t>Цена розинца (руб.)</t>
  </si>
  <si>
    <t>Кол-во в пачке</t>
  </si>
  <si>
    <t>Кол-во в боксе</t>
  </si>
  <si>
    <t>цена со скидкой</t>
  </si>
  <si>
    <t>скидка, %</t>
  </si>
  <si>
    <t>сумма</t>
  </si>
  <si>
    <t>кол-во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</si>
  <si>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</si>
  <si>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</si>
  <si>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</si>
  <si>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</si>
  <si>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</si>
  <si>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</si>
  <si>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</si>
  <si>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</si>
  <si>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</si>
  <si>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</si>
  <si>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</si>
  <si>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</si>
  <si>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</si>
  <si>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</si>
  <si>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</si>
  <si>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</si>
  <si>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0305</t>
  </si>
  <si>
    <t>0310</t>
  </si>
  <si>
    <t>0315</t>
  </si>
  <si>
    <t>0320</t>
  </si>
  <si>
    <t>0325</t>
  </si>
  <si>
    <t>0340</t>
  </si>
  <si>
    <t>0345</t>
  </si>
  <si>
    <t>0350</t>
  </si>
  <si>
    <t>0355</t>
  </si>
  <si>
    <t>0360</t>
  </si>
  <si>
    <t>01050</t>
  </si>
  <si>
    <t>01075</t>
  </si>
  <si>
    <t>010100</t>
  </si>
  <si>
    <t>010150</t>
  </si>
  <si>
    <t>010200</t>
  </si>
  <si>
    <t>010250</t>
  </si>
  <si>
    <t>010300</t>
  </si>
  <si>
    <t>010350</t>
  </si>
  <si>
    <t>010400</t>
  </si>
  <si>
    <t>010500</t>
  </si>
  <si>
    <t>Грузики  самоклеящиеся</t>
  </si>
  <si>
    <t>Цена за шт. (руб.)</t>
  </si>
  <si>
    <t>Цена за бокс (руб.)</t>
  </si>
  <si>
    <t>20 шт.</t>
  </si>
  <si>
    <t>10 шт.</t>
  </si>
  <si>
    <t>5 шт.</t>
  </si>
  <si>
    <t>50 шт.</t>
  </si>
  <si>
    <t>15 шт.</t>
  </si>
  <si>
    <t>0061N</t>
  </si>
  <si>
    <t>Pb (свинец)</t>
  </si>
  <si>
    <t>Fe (железо с цинковым напылением)</t>
  </si>
  <si>
    <t>100 шт.</t>
  </si>
  <si>
    <t>25 шт.</t>
  </si>
  <si>
    <t>0065Fe</t>
  </si>
  <si>
    <t>60 гр.</t>
  </si>
  <si>
    <t>200 гр.</t>
  </si>
  <si>
    <t>5 гр.</t>
  </si>
  <si>
    <t>10 гр.</t>
  </si>
  <si>
    <t>15 гр.</t>
  </si>
  <si>
    <t>20 гр.</t>
  </si>
  <si>
    <t>25 гр.</t>
  </si>
  <si>
    <t>30 гр.</t>
  </si>
  <si>
    <t>35 гр.</t>
  </si>
  <si>
    <t>40 гр.</t>
  </si>
  <si>
    <t>45 гр.</t>
  </si>
  <si>
    <t>50 гр.</t>
  </si>
  <si>
    <t>55 гр.</t>
  </si>
  <si>
    <t>70 гр.</t>
  </si>
  <si>
    <t>80 гр.</t>
  </si>
  <si>
    <t>90 гр.</t>
  </si>
  <si>
    <t>100 гр.</t>
  </si>
  <si>
    <t>75 гр.</t>
  </si>
  <si>
    <t>150 гр.</t>
  </si>
  <si>
    <t>250 гр.</t>
  </si>
  <si>
    <t>300 гр.</t>
  </si>
  <si>
    <t>350 гр.</t>
  </si>
  <si>
    <t>400 гр.</t>
  </si>
  <si>
    <t>500 гр.</t>
  </si>
  <si>
    <t>Адгезив грузовой литой, голубой скотч</t>
  </si>
  <si>
    <t>сумма заявки</t>
  </si>
  <si>
    <t>вес заявки</t>
  </si>
  <si>
    <t>ИТОГО:</t>
  </si>
  <si>
    <t>Вставьте скидку</t>
  </si>
  <si>
    <t>ЗАЯВКА шт.</t>
  </si>
  <si>
    <t>кг</t>
  </si>
  <si>
    <r>
      <t xml:space="preserve">  </t>
    </r>
    <r>
      <rPr>
        <sz val="18"/>
        <rFont val="Arial"/>
        <family val="2"/>
      </rPr>
      <t>↓</t>
    </r>
    <r>
      <rPr>
        <sz val="12"/>
        <rFont val="Arial Cyr"/>
        <family val="0"/>
      </rPr>
      <t xml:space="preserve">  введите требуемое кол-во</t>
    </r>
  </si>
  <si>
    <t>стандарт</t>
  </si>
  <si>
    <t>спорт</t>
  </si>
  <si>
    <t>груз.грузовой</t>
  </si>
  <si>
    <t>0335</t>
  </si>
  <si>
    <t>200 шт.</t>
  </si>
  <si>
    <t>"СтандартN"штампованный  15мм</t>
  </si>
  <si>
    <t>"СпортN" штампованный  19мм</t>
  </si>
  <si>
    <t>Обращаем ваше внимание на то, что данный прайс-лист носит исключительно информационный (ознакомительный) характер</t>
  </si>
  <si>
    <t>и ни при каких условиях не является публичной офертой, определяемой положениями Статьи 437 (2) Гражданского кодекса РФ.</t>
  </si>
  <si>
    <t xml:space="preserve">Надеемся на ваше понимание и на продолжение нашего взаимовыгодного сотрудничества и партнерства. </t>
  </si>
  <si>
    <t>Для получения подробной информации о наличии и стоимости указанных товаров, обращайтесь к менеджерам.</t>
  </si>
  <si>
    <t>0062N</t>
  </si>
  <si>
    <t>0063Гр</t>
  </si>
  <si>
    <t>Противовес балансировочный</t>
  </si>
  <si>
    <t>Противовес (St) 5 гр.</t>
  </si>
  <si>
    <t>Противовес (St) 10 гр.</t>
  </si>
  <si>
    <t>Противовес (St) 15 гр.</t>
  </si>
  <si>
    <t>Противовес (St) 20 гр.</t>
  </si>
  <si>
    <t>Противовес(St) 25 гр.</t>
  </si>
  <si>
    <t>Противовес (St) 30 гр.</t>
  </si>
  <si>
    <t>Противовес (St) 35 гр.</t>
  </si>
  <si>
    <t>Противовес (St) 40 гр.</t>
  </si>
  <si>
    <t>Противовес (St) 45 гр.</t>
  </si>
  <si>
    <t>Противовес (St) 50 гр.</t>
  </si>
  <si>
    <t>Противовес (St) 55 гр.</t>
  </si>
  <si>
    <t>Противовес (St) 60 гр.</t>
  </si>
  <si>
    <t>Противовес (St) 70 гр.</t>
  </si>
  <si>
    <t>Противовес (St) 80 гр.</t>
  </si>
  <si>
    <t>Противовес (St) 90 гр.</t>
  </si>
  <si>
    <t>Противовес (St) 100 гр.</t>
  </si>
  <si>
    <t>Противовес (Alu) 5 гр.</t>
  </si>
  <si>
    <t>Противовес (Alu) 10 гр.</t>
  </si>
  <si>
    <t>Противовес (Alu) 15 гр.</t>
  </si>
  <si>
    <t>Противовес (Alu) 20 гр.</t>
  </si>
  <si>
    <t>Противовес (Alu) 25 гр.</t>
  </si>
  <si>
    <t>Противовес (Alu) 30 гр.</t>
  </si>
  <si>
    <t>Противовес (Alu) 35 гр.</t>
  </si>
  <si>
    <t>Противовес (Alu) 40 гр.</t>
  </si>
  <si>
    <t>Противовес (Alu) 45 гр.</t>
  </si>
  <si>
    <t>Противовес (Alu) 50 гр.</t>
  </si>
  <si>
    <t>Противовес (Alu) 55 гр.</t>
  </si>
  <si>
    <t>Противовес (Alu) 60 гр.</t>
  </si>
  <si>
    <t>Противовес грузовой 50 гр.</t>
  </si>
  <si>
    <t>Противовес грузовой 75 гр.</t>
  </si>
  <si>
    <t>Противовес грузовой 100 гр.</t>
  </si>
  <si>
    <t>Противовес грузовой 150 гр.</t>
  </si>
  <si>
    <t>Противовес грузовой 200 гр.</t>
  </si>
  <si>
    <t>Противовес грузовой 250 гр.</t>
  </si>
  <si>
    <t>Противовес грузовой 300 гр.</t>
  </si>
  <si>
    <t>Противовес грузовой 350 гр.</t>
  </si>
  <si>
    <t>Противовес грузовой 400 гр.</t>
  </si>
  <si>
    <t>Противовес грузовой 500 гр.</t>
  </si>
  <si>
    <t>Противовес стальной, адгезивный (5гр х 12)</t>
  </si>
  <si>
    <t>Новая позиция!</t>
  </si>
  <si>
    <r>
      <t xml:space="preserve">    </t>
    </r>
    <r>
      <rPr>
        <sz val="12"/>
        <rFont val="Arial Cyr"/>
        <family val="0"/>
      </rPr>
      <t xml:space="preserve">г. Челябинск </t>
    </r>
    <r>
      <rPr>
        <sz val="14"/>
        <rFont val="Arial Cyr"/>
        <family val="0"/>
      </rPr>
      <t xml:space="preserve">   тел/факс: 8 (351) 268-91-89; 223-97-57; 8-919-123-97-57</t>
    </r>
  </si>
  <si>
    <t xml:space="preserve">    г. Челябинск    тел/факс: 8 (351) 268-91-89; 223-97-57; 8-919-123-97-57   Skype: gefest174</t>
  </si>
  <si>
    <t>цены действительны с 01 февраля 2024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</si>
</sst>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&quot;р.&quot;"/>
    <numFmt numFmtId="183" formatCode="#,##0.00_р_."/>
    <numFmt numFmtId="184" formatCode="0000"/>
    <numFmt numFmtId="185" formatCode="#,##0.00\ &quot;₽&quot;"/>
    <numFmt numFmtId="186" formatCode="#,##0.00\ _₽"/>
    <numFmt numFmtId="187" formatCode="#,##0\ &quot;₽&quot;"/>
  </numFmts>
  <fonts count="70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Arial Cyr"/>
      <family val="0"/>
    </font>
    <font>
      <b/>
      <sz val="18"/>
      <color indexed="9"/>
      <name val="Times New Roman"/>
      <family val="1"/>
    </font>
    <font>
      <b/>
      <sz val="22"/>
      <color indexed="9"/>
      <name val="Arial"/>
      <family val="2"/>
    </font>
    <font>
      <b/>
      <sz val="14"/>
      <color indexed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8"/>
      <name val="Arial"/>
      <family val="2"/>
    </font>
    <font>
      <b/>
      <sz val="1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182" fontId="8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3" fontId="11" fillId="0" borderId="10" xfId="0" applyNumberFormat="1" applyFont="1" applyFill="1" applyBorder="1" applyAlignment="1">
      <alignment horizontal="center"/>
    </xf>
    <xf numFmtId="183" fontId="11" fillId="0" borderId="13" xfId="0" applyNumberFormat="1" applyFont="1" applyFill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2" fontId="0" fillId="32" borderId="0" xfId="0" applyNumberFormat="1" applyFont="1" applyFill="1" applyBorder="1" applyAlignment="1">
      <alignment/>
    </xf>
    <xf numFmtId="182" fontId="11" fillId="32" borderId="10" xfId="0" applyNumberFormat="1" applyFont="1" applyFill="1" applyBorder="1" applyAlignment="1">
      <alignment horizontal="center"/>
    </xf>
    <xf numFmtId="2" fontId="11" fillId="32" borderId="13" xfId="0" applyNumberFormat="1" applyFont="1" applyFill="1" applyBorder="1" applyAlignment="1">
      <alignment horizontal="center"/>
    </xf>
    <xf numFmtId="182" fontId="11" fillId="32" borderId="13" xfId="0" applyNumberFormat="1" applyFont="1" applyFill="1" applyBorder="1" applyAlignment="1">
      <alignment horizontal="center"/>
    </xf>
    <xf numFmtId="182" fontId="11" fillId="32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3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8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15" fillId="32" borderId="11" xfId="0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8" fillId="33" borderId="19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184" fontId="4" fillId="0" borderId="10" xfId="0" applyNumberFormat="1" applyFont="1" applyFill="1" applyBorder="1" applyAlignment="1">
      <alignment horizontal="center"/>
    </xf>
    <xf numFmtId="182" fontId="1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11" fillId="36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82" fontId="8" fillId="0" borderId="21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18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1" fontId="23" fillId="37" borderId="10" xfId="0" applyNumberFormat="1" applyFont="1" applyFill="1" applyBorder="1" applyAlignment="1" applyProtection="1">
      <alignment horizontal="center"/>
      <protection locked="0"/>
    </xf>
    <xf numFmtId="0" fontId="0" fillId="37" borderId="11" xfId="0" applyFont="1" applyFill="1" applyBorder="1" applyAlignment="1" applyProtection="1">
      <alignment horizontal="center"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 horizontal="center"/>
      <protection locked="0"/>
    </xf>
    <xf numFmtId="186" fontId="47" fillId="0" borderId="0" xfId="54" applyNumberFormat="1">
      <alignment/>
      <protection/>
    </xf>
    <xf numFmtId="186" fontId="47" fillId="0" borderId="0" xfId="54" applyNumberFormat="1">
      <alignment/>
      <protection/>
    </xf>
    <xf numFmtId="0" fontId="0" fillId="0" borderId="0" xfId="0" applyFont="1" applyFill="1" applyAlignment="1">
      <alignment/>
    </xf>
    <xf numFmtId="0" fontId="0" fillId="37" borderId="11" xfId="0" applyFont="1" applyFill="1" applyBorder="1" applyAlignment="1" applyProtection="1">
      <alignment horizontal="center"/>
      <protection locked="0"/>
    </xf>
    <xf numFmtId="18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8" fillId="0" borderId="12" xfId="0" applyNumberFormat="1" applyFont="1" applyFill="1" applyBorder="1" applyAlignment="1">
      <alignment/>
    </xf>
    <xf numFmtId="49" fontId="64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11" xfId="0" applyFont="1" applyFill="1" applyBorder="1" applyAlignment="1">
      <alignment horizontal="center"/>
    </xf>
    <xf numFmtId="182" fontId="65" fillId="0" borderId="12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7" fillId="0" borderId="10" xfId="0" applyFont="1" applyFill="1" applyBorder="1" applyAlignment="1">
      <alignment horizontal="center"/>
    </xf>
    <xf numFmtId="182" fontId="68" fillId="36" borderId="10" xfId="0" applyNumberFormat="1" applyFont="1" applyFill="1" applyBorder="1" applyAlignment="1">
      <alignment horizontal="center"/>
    </xf>
    <xf numFmtId="0" fontId="67" fillId="36" borderId="0" xfId="0" applyFont="1" applyFill="1" applyAlignment="1">
      <alignment horizontal="center"/>
    </xf>
    <xf numFmtId="0" fontId="66" fillId="36" borderId="0" xfId="0" applyFont="1" applyFill="1" applyAlignment="1">
      <alignment/>
    </xf>
    <xf numFmtId="183" fontId="68" fillId="0" borderId="10" xfId="0" applyNumberFormat="1" applyFont="1" applyFill="1" applyBorder="1" applyAlignment="1">
      <alignment horizontal="center"/>
    </xf>
    <xf numFmtId="182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0" fillId="37" borderId="11" xfId="0" applyFont="1" applyFill="1" applyBorder="1" applyAlignment="1" applyProtection="1">
      <alignment horizontal="center"/>
      <protection/>
    </xf>
    <xf numFmtId="0" fontId="66" fillId="37" borderId="11" xfId="0" applyFont="1" applyFill="1" applyBorder="1" applyAlignment="1" applyProtection="1">
      <alignment horizontal="center"/>
      <protection/>
    </xf>
    <xf numFmtId="0" fontId="0" fillId="37" borderId="11" xfId="0" applyFont="1" applyFill="1" applyBorder="1" applyAlignment="1" applyProtection="1">
      <alignment horizontal="center"/>
      <protection/>
    </xf>
    <xf numFmtId="0" fontId="0" fillId="37" borderId="11" xfId="0" applyFont="1" applyFill="1" applyBorder="1" applyAlignment="1" applyProtection="1">
      <alignment/>
      <protection/>
    </xf>
    <xf numFmtId="0" fontId="69" fillId="36" borderId="0" xfId="0" applyFont="1" applyFill="1" applyAlignment="1">
      <alignment/>
    </xf>
    <xf numFmtId="182" fontId="68" fillId="38" borderId="10" xfId="0" applyNumberFormat="1" applyFont="1" applyFill="1" applyBorder="1" applyAlignment="1">
      <alignment horizontal="center"/>
    </xf>
    <xf numFmtId="0" fontId="67" fillId="38" borderId="0" xfId="0" applyFont="1" applyFill="1" applyAlignment="1">
      <alignment horizontal="center"/>
    </xf>
    <xf numFmtId="0" fontId="66" fillId="38" borderId="0" xfId="0" applyFont="1" applyFill="1" applyAlignment="1">
      <alignment/>
    </xf>
    <xf numFmtId="2" fontId="11" fillId="36" borderId="10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/>
    </xf>
    <xf numFmtId="2" fontId="11" fillId="36" borderId="13" xfId="0" applyNumberFormat="1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182" fontId="11" fillId="36" borderId="13" xfId="0" applyNumberFormat="1" applyFont="1" applyFill="1" applyBorder="1" applyAlignment="1">
      <alignment horizontal="center"/>
    </xf>
    <xf numFmtId="186" fontId="47" fillId="0" borderId="0" xfId="54" applyNumberFormat="1">
      <alignment/>
      <protection/>
    </xf>
    <xf numFmtId="186" fontId="47" fillId="0" borderId="0" xfId="54" applyNumberFormat="1">
      <alignment/>
      <protection/>
    </xf>
    <xf numFmtId="186" fontId="47" fillId="0" borderId="0" xfId="54" applyNumberFormat="1">
      <alignment/>
      <protection/>
    </xf>
    <xf numFmtId="186" fontId="47" fillId="0" borderId="0" xfId="54" applyNumberFormat="1">
      <alignment/>
      <protection/>
    </xf>
    <xf numFmtId="186" fontId="47" fillId="0" borderId="0" xfId="54" applyNumberFormat="1">
      <alignment/>
      <protection/>
    </xf>
    <xf numFmtId="0" fontId="19" fillId="0" borderId="0" xfId="0" applyFont="1" applyAlignment="1">
      <alignment/>
    </xf>
    <xf numFmtId="0" fontId="0" fillId="0" borderId="0" xfId="0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7" fillId="34" borderId="0" xfId="0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104775</xdr:rowOff>
    </xdr:from>
    <xdr:to>
      <xdr:col>12</xdr:col>
      <xdr:colOff>590550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685800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3:U70"/>
  <sheetViews>
    <sheetView tabSelected="1" zoomScalePageLayoutView="0" workbookViewId="0" topLeftCell="B1">
      <selection activeCell="J6" sqref="J6"/>
    </sheetView>
  </sheetViews>
  <sheetFormatPr defaultColWidth="9.00390625" defaultRowHeight="12.75"/>
  <cols>
    <col min="1" max="1" width="0.2421875" style="0" hidden="1" customWidth="1"/>
    <col min="2" max="2" width="7.375" style="0" customWidth="1"/>
    <col min="3" max="3" width="5.75390625" style="0" customWidth="1"/>
    <col min="4" max="4" width="36.375" style="0" customWidth="1"/>
    <col min="5" max="5" width="8.25390625" style="0" customWidth="1"/>
    <col min="6" max="6" width="7.875" style="0" customWidth="1"/>
    <col min="7" max="7" width="11.125" style="0" customWidth="1"/>
    <col min="8" max="8" width="5.75390625" style="0" hidden="1" customWidth="1"/>
    <col min="9" max="9" width="7.625" style="0" hidden="1" customWidth="1"/>
    <col min="10" max="10" width="12.125" style="0" customWidth="1"/>
    <col min="11" max="11" width="8.125" style="0" hidden="1" customWidth="1"/>
    <col min="12" max="12" width="14.00390625" style="0" hidden="1" customWidth="1"/>
    <col min="13" max="13" width="9.875" style="0" bestFit="1" customWidth="1"/>
    <col min="14" max="14" width="11.00390625" style="0" customWidth="1"/>
    <col min="15" max="15" width="12.875" style="0" customWidth="1"/>
    <col min="16" max="16" width="13.625" style="0" customWidth="1"/>
    <col min="17" max="17" width="11.00390625" style="0" customWidth="1"/>
    <col min="18" max="18" width="15.00390625" style="0" customWidth="1"/>
  </cols>
  <sheetData>
    <row r="3" spans="2:17" ht="18">
      <c r="B3" s="137" t="s">
        <v>148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2:17" ht="25.5" customHeight="1">
      <c r="B4" s="61"/>
      <c r="C4" s="61"/>
      <c r="D4" s="141" t="s">
        <v>107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61"/>
      <c r="P4" s="64"/>
      <c r="Q4" s="64"/>
    </row>
    <row r="5" spans="2:17" ht="36" customHeight="1" thickBot="1">
      <c r="B5" s="38" t="s">
        <v>0</v>
      </c>
      <c r="C5" s="38"/>
      <c r="D5" s="39" t="s">
        <v>1</v>
      </c>
      <c r="E5" s="40" t="s">
        <v>6</v>
      </c>
      <c r="F5" s="40" t="s">
        <v>7</v>
      </c>
      <c r="G5" s="41" t="s">
        <v>5</v>
      </c>
      <c r="H5" s="42"/>
      <c r="I5" s="43" t="s">
        <v>11</v>
      </c>
      <c r="J5" s="44" t="s">
        <v>9</v>
      </c>
      <c r="K5" s="45"/>
      <c r="L5" s="43" t="s">
        <v>10</v>
      </c>
      <c r="M5" s="46" t="s">
        <v>49</v>
      </c>
      <c r="N5" s="46" t="s">
        <v>50</v>
      </c>
      <c r="O5" s="62" t="s">
        <v>91</v>
      </c>
      <c r="P5" s="65" t="s">
        <v>87</v>
      </c>
      <c r="Q5" s="65" t="s">
        <v>88</v>
      </c>
    </row>
    <row r="6" spans="2:17" ht="17.25" customHeight="1">
      <c r="B6" s="145" t="s">
        <v>150</v>
      </c>
      <c r="C6" s="145"/>
      <c r="D6" s="145"/>
      <c r="E6" s="145"/>
      <c r="F6" s="145"/>
      <c r="G6" s="146"/>
      <c r="H6" s="20"/>
      <c r="I6" s="20"/>
      <c r="J6" s="95"/>
      <c r="K6" s="21"/>
      <c r="L6" s="22">
        <f>SUMPRODUCT(I20:I63,J20:J63)</f>
        <v>0</v>
      </c>
      <c r="M6" s="56"/>
      <c r="N6" s="143" t="s">
        <v>90</v>
      </c>
      <c r="O6" s="144"/>
      <c r="P6" s="23"/>
      <c r="Q6" s="69" t="s">
        <v>92</v>
      </c>
    </row>
    <row r="7" spans="2:17" ht="14.25">
      <c r="B7" s="147" t="s">
        <v>48</v>
      </c>
      <c r="C7" s="148"/>
      <c r="D7" s="148"/>
      <c r="E7" s="148"/>
      <c r="F7" s="148"/>
      <c r="G7" s="149"/>
      <c r="H7" s="42"/>
      <c r="I7" s="47"/>
      <c r="J7" s="48" t="s">
        <v>8</v>
      </c>
      <c r="K7" s="49">
        <f>$K$20</f>
        <v>0</v>
      </c>
      <c r="L7" s="50"/>
      <c r="M7" s="142" t="s">
        <v>8</v>
      </c>
      <c r="N7" s="142"/>
      <c r="O7" s="63"/>
      <c r="P7" s="51"/>
      <c r="Q7" s="51"/>
    </row>
    <row r="8" spans="2:17" ht="15.75" customHeight="1">
      <c r="B8" s="12"/>
      <c r="C8" s="13"/>
      <c r="D8" s="2" t="s">
        <v>57</v>
      </c>
      <c r="E8" s="14"/>
      <c r="F8" s="15"/>
      <c r="G8" s="7"/>
      <c r="H8" s="19"/>
      <c r="I8" s="23"/>
      <c r="J8" s="30"/>
      <c r="K8" s="31">
        <f>$K$20</f>
        <v>0</v>
      </c>
      <c r="L8" s="32"/>
      <c r="M8" s="33"/>
      <c r="N8" s="27"/>
      <c r="O8" s="70" t="s">
        <v>93</v>
      </c>
      <c r="P8" s="70"/>
      <c r="Q8" s="71"/>
    </row>
    <row r="9" spans="2:19" ht="15">
      <c r="B9" s="5" t="s">
        <v>56</v>
      </c>
      <c r="C9" s="5" t="s">
        <v>62</v>
      </c>
      <c r="D9" s="2" t="s">
        <v>99</v>
      </c>
      <c r="E9" s="4" t="s">
        <v>54</v>
      </c>
      <c r="F9" s="4">
        <v>400</v>
      </c>
      <c r="G9" s="11">
        <v>1150</v>
      </c>
      <c r="H9" s="19"/>
      <c r="I9" s="23"/>
      <c r="J9" s="34">
        <f>G9*(100-K9)/100</f>
        <v>1150</v>
      </c>
      <c r="K9" s="31">
        <f>$K$20</f>
        <v>0</v>
      </c>
      <c r="L9" s="32"/>
      <c r="M9" s="34">
        <f>J9/50</f>
        <v>23</v>
      </c>
      <c r="N9" s="16">
        <f>M9*F9</f>
        <v>9200</v>
      </c>
      <c r="O9" s="96"/>
      <c r="P9" s="67">
        <f>O9*M9</f>
        <v>0</v>
      </c>
      <c r="Q9" s="60">
        <f>O9*60/1000</f>
        <v>0</v>
      </c>
      <c r="S9" s="132"/>
    </row>
    <row r="10" spans="2:19" ht="15">
      <c r="B10" s="5" t="s">
        <v>105</v>
      </c>
      <c r="C10" s="5" t="s">
        <v>62</v>
      </c>
      <c r="D10" s="2" t="s">
        <v>100</v>
      </c>
      <c r="E10" s="4" t="s">
        <v>54</v>
      </c>
      <c r="F10" s="4">
        <v>400</v>
      </c>
      <c r="G10" s="11">
        <v>1165</v>
      </c>
      <c r="H10" s="19"/>
      <c r="I10" s="23"/>
      <c r="J10" s="34">
        <f>G10*(100-K10)/100</f>
        <v>1165</v>
      </c>
      <c r="K10" s="31">
        <f>$K$20</f>
        <v>0</v>
      </c>
      <c r="L10" s="32"/>
      <c r="M10" s="34">
        <f>J10/50</f>
        <v>23.3</v>
      </c>
      <c r="N10" s="16">
        <f>M10*F10</f>
        <v>9320</v>
      </c>
      <c r="O10" s="96"/>
      <c r="P10" s="67">
        <f>O10*M10</f>
        <v>0</v>
      </c>
      <c r="Q10" s="60">
        <f>O10*60/1000</f>
        <v>0</v>
      </c>
      <c r="S10" s="133"/>
    </row>
    <row r="11" spans="2:17" ht="12.75">
      <c r="B11" s="106"/>
      <c r="C11" s="106"/>
      <c r="D11" s="107"/>
      <c r="E11" s="108"/>
      <c r="F11" s="108"/>
      <c r="G11" s="109"/>
      <c r="H11" s="110"/>
      <c r="I11" s="111"/>
      <c r="J11" s="112"/>
      <c r="K11" s="113"/>
      <c r="L11" s="114"/>
      <c r="M11" s="112"/>
      <c r="N11" s="115"/>
      <c r="O11" s="119"/>
      <c r="P11" s="116"/>
      <c r="Q11" s="117"/>
    </row>
    <row r="12" spans="2:19" ht="15">
      <c r="B12" s="5" t="s">
        <v>106</v>
      </c>
      <c r="C12" s="5" t="s">
        <v>63</v>
      </c>
      <c r="D12" s="2" t="s">
        <v>86</v>
      </c>
      <c r="E12" s="4" t="s">
        <v>55</v>
      </c>
      <c r="F12" s="4">
        <v>150</v>
      </c>
      <c r="G12" s="11">
        <v>1500</v>
      </c>
      <c r="H12" s="19"/>
      <c r="I12" s="23"/>
      <c r="J12" s="35">
        <f>G12*(100-K12)/100</f>
        <v>1500</v>
      </c>
      <c r="K12" s="31">
        <f>$K$20</f>
        <v>0</v>
      </c>
      <c r="L12" s="32"/>
      <c r="M12" s="36">
        <f>J12/15</f>
        <v>100</v>
      </c>
      <c r="N12" s="17">
        <f>M12*F12</f>
        <v>15000</v>
      </c>
      <c r="O12" s="96"/>
      <c r="P12" s="67">
        <f>O12*M12</f>
        <v>0</v>
      </c>
      <c r="Q12" s="60">
        <f>O12*200/1000</f>
        <v>0</v>
      </c>
      <c r="S12" s="134"/>
    </row>
    <row r="13" spans="2:17" ht="12.75">
      <c r="B13" s="5"/>
      <c r="C13" s="5"/>
      <c r="D13" s="2"/>
      <c r="E13" s="4"/>
      <c r="F13" s="4"/>
      <c r="G13" s="11"/>
      <c r="H13" s="19"/>
      <c r="I13" s="23"/>
      <c r="J13" s="128"/>
      <c r="K13" s="129"/>
      <c r="L13" s="130"/>
      <c r="M13" s="131"/>
      <c r="N13" s="17"/>
      <c r="O13" s="96"/>
      <c r="P13" s="67"/>
      <c r="Q13" s="60"/>
    </row>
    <row r="14" spans="2:19" ht="14.25">
      <c r="B14" s="13"/>
      <c r="C14" s="13"/>
      <c r="D14" s="2" t="s">
        <v>58</v>
      </c>
      <c r="E14" s="14"/>
      <c r="F14" s="15"/>
      <c r="G14" s="105"/>
      <c r="H14" s="101"/>
      <c r="I14" s="23"/>
      <c r="J14" s="75"/>
      <c r="K14" s="24"/>
      <c r="L14" s="101"/>
      <c r="M14" s="103"/>
      <c r="N14" s="16"/>
      <c r="O14" s="118"/>
      <c r="P14" s="104"/>
      <c r="Q14" s="104"/>
      <c r="S14" s="10"/>
    </row>
    <row r="15" spans="2:18" ht="12.75">
      <c r="B15" s="5" t="s">
        <v>61</v>
      </c>
      <c r="C15" s="5" t="s">
        <v>62</v>
      </c>
      <c r="D15" s="2" t="s">
        <v>146</v>
      </c>
      <c r="E15" s="4" t="s">
        <v>54</v>
      </c>
      <c r="F15" s="4">
        <v>400</v>
      </c>
      <c r="G15" s="11">
        <v>700</v>
      </c>
      <c r="H15" s="20"/>
      <c r="I15" s="23"/>
      <c r="J15" s="123">
        <f>G15*(100-K15)/100</f>
        <v>700</v>
      </c>
      <c r="K15" s="124">
        <f>$K$20</f>
        <v>0</v>
      </c>
      <c r="L15" s="125"/>
      <c r="M15" s="123">
        <f>J15/50</f>
        <v>14</v>
      </c>
      <c r="N15" s="16">
        <f>J15*8</f>
        <v>5600</v>
      </c>
      <c r="O15" s="102"/>
      <c r="P15" s="103">
        <f>O15*M15</f>
        <v>0</v>
      </c>
      <c r="Q15" s="104">
        <f>O15*60/1000</f>
        <v>0</v>
      </c>
      <c r="R15" s="122" t="s">
        <v>147</v>
      </c>
    </row>
    <row r="16" spans="2:17" ht="12.75">
      <c r="B16" s="5"/>
      <c r="C16" s="5"/>
      <c r="D16" s="2"/>
      <c r="E16" s="4"/>
      <c r="F16" s="4"/>
      <c r="G16" s="11"/>
      <c r="H16" s="19"/>
      <c r="I16" s="23"/>
      <c r="J16" s="75"/>
      <c r="K16" s="24"/>
      <c r="L16" s="25"/>
      <c r="M16" s="75"/>
      <c r="N16" s="16"/>
      <c r="O16" s="120"/>
      <c r="P16" s="60"/>
      <c r="Q16" s="60"/>
    </row>
    <row r="17" spans="2:17" ht="12.75">
      <c r="B17" s="5"/>
      <c r="C17" s="5"/>
      <c r="D17" s="2"/>
      <c r="E17" s="4"/>
      <c r="F17" s="4"/>
      <c r="G17" s="7"/>
      <c r="H17" s="19"/>
      <c r="I17" s="28"/>
      <c r="J17" s="126"/>
      <c r="K17" s="91">
        <f>$K$20</f>
        <v>0</v>
      </c>
      <c r="L17" s="92"/>
      <c r="M17" s="127"/>
      <c r="N17" s="26"/>
      <c r="O17" s="121"/>
      <c r="P17" s="77">
        <f>SUM(P9:P16)</f>
        <v>0</v>
      </c>
      <c r="Q17" s="76">
        <f>SUM(Q9:Q16)</f>
        <v>0</v>
      </c>
    </row>
    <row r="18" spans="2:17" ht="14.25">
      <c r="B18" s="147" t="s">
        <v>2</v>
      </c>
      <c r="C18" s="148"/>
      <c r="D18" s="148"/>
      <c r="E18" s="148"/>
      <c r="F18" s="148"/>
      <c r="G18" s="149"/>
      <c r="H18" s="52"/>
      <c r="I18" s="52"/>
      <c r="J18" s="53"/>
      <c r="K18" s="53"/>
      <c r="L18" s="53"/>
      <c r="M18" s="53"/>
      <c r="N18" s="53"/>
      <c r="O18" s="73" t="s">
        <v>94</v>
      </c>
      <c r="P18" s="53"/>
      <c r="Q18" s="53"/>
    </row>
    <row r="19" spans="2:21" ht="12.75">
      <c r="B19" s="1"/>
      <c r="C19" s="1"/>
      <c r="D19" s="2" t="s">
        <v>57</v>
      </c>
      <c r="E19" s="3"/>
      <c r="F19" s="3"/>
      <c r="G19" s="6"/>
      <c r="H19" s="19"/>
      <c r="I19" s="19"/>
      <c r="J19" s="58"/>
      <c r="K19" s="26"/>
      <c r="L19" s="26"/>
      <c r="M19" s="59"/>
      <c r="N19" s="26"/>
      <c r="O19" s="97"/>
      <c r="P19" s="26"/>
      <c r="Q19" s="26"/>
      <c r="U19" s="9"/>
    </row>
    <row r="20" spans="2:19" ht="15">
      <c r="B20" s="5" t="s">
        <v>12</v>
      </c>
      <c r="C20" s="5" t="s">
        <v>64</v>
      </c>
      <c r="D20" s="2" t="s">
        <v>108</v>
      </c>
      <c r="E20" s="4" t="s">
        <v>98</v>
      </c>
      <c r="F20" s="4">
        <v>2400</v>
      </c>
      <c r="G20" s="11">
        <v>760</v>
      </c>
      <c r="H20" s="19"/>
      <c r="I20" s="23"/>
      <c r="J20" s="37">
        <f>G20*(100-K20)/100</f>
        <v>760</v>
      </c>
      <c r="K20" s="31">
        <f>J6</f>
        <v>0</v>
      </c>
      <c r="L20" s="32"/>
      <c r="M20" s="37">
        <f>J20/200</f>
        <v>3.8</v>
      </c>
      <c r="N20" s="18">
        <f>M20*F20</f>
        <v>9120</v>
      </c>
      <c r="O20" s="96"/>
      <c r="P20" s="67">
        <f aca="true" t="shared" si="0" ref="P20:P35">O20*M20</f>
        <v>0</v>
      </c>
      <c r="Q20" s="60">
        <f>O20*5/1000</f>
        <v>0</v>
      </c>
      <c r="R20" s="99"/>
      <c r="S20" s="135"/>
    </row>
    <row r="21" spans="2:19" ht="15">
      <c r="B21" s="5" t="s">
        <v>13</v>
      </c>
      <c r="C21" s="5" t="s">
        <v>65</v>
      </c>
      <c r="D21" s="2" t="s">
        <v>109</v>
      </c>
      <c r="E21" s="4" t="s">
        <v>59</v>
      </c>
      <c r="F21" s="4">
        <v>1200</v>
      </c>
      <c r="G21" s="11">
        <v>583</v>
      </c>
      <c r="H21" s="19"/>
      <c r="I21" s="23"/>
      <c r="J21" s="34">
        <f aca="true" t="shared" si="1" ref="J21:J56">G21*(100-K21)/100</f>
        <v>583</v>
      </c>
      <c r="K21" s="31">
        <f aca="true" t="shared" si="2" ref="K21:K30">$K$20</f>
        <v>0</v>
      </c>
      <c r="L21" s="32"/>
      <c r="M21" s="34">
        <f>J21/100</f>
        <v>5.83</v>
      </c>
      <c r="N21" s="18">
        <f aca="true" t="shared" si="3" ref="N21:N35">M21*F21</f>
        <v>6996</v>
      </c>
      <c r="O21" s="96"/>
      <c r="P21" s="67">
        <f t="shared" si="0"/>
        <v>0</v>
      </c>
      <c r="Q21" s="60">
        <f>O21*10/1000</f>
        <v>0</v>
      </c>
      <c r="R21" s="135"/>
      <c r="S21" s="135"/>
    </row>
    <row r="22" spans="2:19" ht="15">
      <c r="B22" s="5" t="s">
        <v>14</v>
      </c>
      <c r="C22" s="5" t="s">
        <v>66</v>
      </c>
      <c r="D22" s="2" t="s">
        <v>110</v>
      </c>
      <c r="E22" s="4" t="s">
        <v>59</v>
      </c>
      <c r="F22" s="4">
        <v>1200</v>
      </c>
      <c r="G22" s="11">
        <v>798</v>
      </c>
      <c r="H22" s="19"/>
      <c r="I22" s="23"/>
      <c r="J22" s="34">
        <f t="shared" si="1"/>
        <v>798</v>
      </c>
      <c r="K22" s="31">
        <f t="shared" si="2"/>
        <v>0</v>
      </c>
      <c r="L22" s="32"/>
      <c r="M22" s="34">
        <f>J22/100</f>
        <v>7.98</v>
      </c>
      <c r="N22" s="18">
        <f t="shared" si="3"/>
        <v>9576</v>
      </c>
      <c r="O22" s="96"/>
      <c r="P22" s="67">
        <f t="shared" si="0"/>
        <v>0</v>
      </c>
      <c r="Q22" s="60">
        <f>O22*15/1000</f>
        <v>0</v>
      </c>
      <c r="R22" s="135"/>
      <c r="S22" s="135"/>
    </row>
    <row r="23" spans="2:19" ht="15">
      <c r="B23" s="5" t="s">
        <v>15</v>
      </c>
      <c r="C23" s="5" t="s">
        <v>67</v>
      </c>
      <c r="D23" s="2" t="s">
        <v>111</v>
      </c>
      <c r="E23" s="4" t="s">
        <v>59</v>
      </c>
      <c r="F23" s="4">
        <v>1200</v>
      </c>
      <c r="G23" s="11">
        <v>1014</v>
      </c>
      <c r="H23" s="19"/>
      <c r="I23" s="23"/>
      <c r="J23" s="34">
        <f t="shared" si="1"/>
        <v>1014</v>
      </c>
      <c r="K23" s="31">
        <f t="shared" si="2"/>
        <v>0</v>
      </c>
      <c r="L23" s="32"/>
      <c r="M23" s="34">
        <f>J23/100</f>
        <v>10.14</v>
      </c>
      <c r="N23" s="18">
        <f t="shared" si="3"/>
        <v>12168</v>
      </c>
      <c r="O23" s="96"/>
      <c r="P23" s="67">
        <f t="shared" si="0"/>
        <v>0</v>
      </c>
      <c r="Q23" s="60">
        <f>O23*20/1000</f>
        <v>0</v>
      </c>
      <c r="R23" s="135"/>
      <c r="S23" s="135"/>
    </row>
    <row r="24" spans="2:19" ht="15">
      <c r="B24" s="5" t="s">
        <v>16</v>
      </c>
      <c r="C24" s="5" t="s">
        <v>68</v>
      </c>
      <c r="D24" s="2" t="s">
        <v>112</v>
      </c>
      <c r="E24" s="4" t="s">
        <v>59</v>
      </c>
      <c r="F24" s="4">
        <v>1000</v>
      </c>
      <c r="G24" s="11">
        <v>1231</v>
      </c>
      <c r="H24" s="19"/>
      <c r="I24" s="23"/>
      <c r="J24" s="34">
        <f t="shared" si="1"/>
        <v>1231</v>
      </c>
      <c r="K24" s="31">
        <f t="shared" si="2"/>
        <v>0</v>
      </c>
      <c r="L24" s="32"/>
      <c r="M24" s="34">
        <f>J24/100</f>
        <v>12.31</v>
      </c>
      <c r="N24" s="18">
        <f t="shared" si="3"/>
        <v>12310</v>
      </c>
      <c r="O24" s="96"/>
      <c r="P24" s="67">
        <f t="shared" si="0"/>
        <v>0</v>
      </c>
      <c r="Q24" s="60">
        <f>O24*25/1000</f>
        <v>0</v>
      </c>
      <c r="R24" s="135"/>
      <c r="S24" s="135"/>
    </row>
    <row r="25" spans="2:19" ht="15">
      <c r="B25" s="5" t="s">
        <v>17</v>
      </c>
      <c r="C25" s="5" t="s">
        <v>69</v>
      </c>
      <c r="D25" s="2" t="s">
        <v>113</v>
      </c>
      <c r="E25" s="4" t="s">
        <v>59</v>
      </c>
      <c r="F25" s="4">
        <v>800</v>
      </c>
      <c r="G25" s="11">
        <v>1452</v>
      </c>
      <c r="H25" s="19"/>
      <c r="I25" s="23"/>
      <c r="J25" s="34">
        <f t="shared" si="1"/>
        <v>1452</v>
      </c>
      <c r="K25" s="31">
        <f t="shared" si="2"/>
        <v>0</v>
      </c>
      <c r="L25" s="32"/>
      <c r="M25" s="34">
        <f>J25/100</f>
        <v>14.52</v>
      </c>
      <c r="N25" s="18">
        <f t="shared" si="3"/>
        <v>11616</v>
      </c>
      <c r="O25" s="96"/>
      <c r="P25" s="67">
        <f t="shared" si="0"/>
        <v>0</v>
      </c>
      <c r="Q25" s="60">
        <f>O25*30/1000</f>
        <v>0</v>
      </c>
      <c r="R25" s="135"/>
      <c r="S25" s="135"/>
    </row>
    <row r="26" spans="2:19" ht="15">
      <c r="B26" s="5" t="s">
        <v>18</v>
      </c>
      <c r="C26" s="5" t="s">
        <v>70</v>
      </c>
      <c r="D26" s="2" t="s">
        <v>114</v>
      </c>
      <c r="E26" s="4" t="s">
        <v>54</v>
      </c>
      <c r="F26" s="4">
        <v>500</v>
      </c>
      <c r="G26" s="11">
        <v>835</v>
      </c>
      <c r="H26" s="19"/>
      <c r="I26" s="23"/>
      <c r="J26" s="34">
        <f t="shared" si="1"/>
        <v>835</v>
      </c>
      <c r="K26" s="31">
        <f t="shared" si="2"/>
        <v>0</v>
      </c>
      <c r="L26" s="32"/>
      <c r="M26" s="34">
        <f aca="true" t="shared" si="4" ref="M26:M31">J26/50</f>
        <v>16.7</v>
      </c>
      <c r="N26" s="18">
        <f t="shared" si="3"/>
        <v>8350</v>
      </c>
      <c r="O26" s="96"/>
      <c r="P26" s="67">
        <f t="shared" si="0"/>
        <v>0</v>
      </c>
      <c r="Q26" s="60">
        <f>O26*35/1000</f>
        <v>0</v>
      </c>
      <c r="R26" s="135"/>
      <c r="S26" s="135"/>
    </row>
    <row r="27" spans="2:19" ht="15">
      <c r="B27" s="5" t="s">
        <v>19</v>
      </c>
      <c r="C27" s="5" t="s">
        <v>71</v>
      </c>
      <c r="D27" s="2" t="s">
        <v>115</v>
      </c>
      <c r="E27" s="4" t="s">
        <v>54</v>
      </c>
      <c r="F27" s="4">
        <v>500</v>
      </c>
      <c r="G27" s="11">
        <v>961</v>
      </c>
      <c r="H27" s="19"/>
      <c r="I27" s="23"/>
      <c r="J27" s="34">
        <f t="shared" si="1"/>
        <v>961</v>
      </c>
      <c r="K27" s="31">
        <f t="shared" si="2"/>
        <v>0</v>
      </c>
      <c r="L27" s="32"/>
      <c r="M27" s="34">
        <f t="shared" si="4"/>
        <v>19.22</v>
      </c>
      <c r="N27" s="18">
        <f t="shared" si="3"/>
        <v>9610</v>
      </c>
      <c r="O27" s="96"/>
      <c r="P27" s="67">
        <f t="shared" si="0"/>
        <v>0</v>
      </c>
      <c r="Q27" s="60">
        <f>O27*40/1000</f>
        <v>0</v>
      </c>
      <c r="R27" s="135"/>
      <c r="S27" s="135"/>
    </row>
    <row r="28" spans="2:19" ht="15">
      <c r="B28" s="5" t="s">
        <v>20</v>
      </c>
      <c r="C28" s="5" t="s">
        <v>72</v>
      </c>
      <c r="D28" s="2" t="s">
        <v>116</v>
      </c>
      <c r="E28" s="4" t="s">
        <v>54</v>
      </c>
      <c r="F28" s="4">
        <v>500</v>
      </c>
      <c r="G28" s="11">
        <v>1070</v>
      </c>
      <c r="H28" s="19"/>
      <c r="I28" s="23"/>
      <c r="J28" s="34">
        <f t="shared" si="1"/>
        <v>1070</v>
      </c>
      <c r="K28" s="31">
        <f t="shared" si="2"/>
        <v>0</v>
      </c>
      <c r="L28" s="32"/>
      <c r="M28" s="34">
        <f t="shared" si="4"/>
        <v>21.4</v>
      </c>
      <c r="N28" s="18">
        <f t="shared" si="3"/>
        <v>10700</v>
      </c>
      <c r="O28" s="96"/>
      <c r="P28" s="67">
        <f t="shared" si="0"/>
        <v>0</v>
      </c>
      <c r="Q28" s="60">
        <f>O28*45/1000</f>
        <v>0</v>
      </c>
      <c r="R28" s="135"/>
      <c r="S28" s="135"/>
    </row>
    <row r="29" spans="2:19" ht="15">
      <c r="B29" s="5" t="s">
        <v>21</v>
      </c>
      <c r="C29" s="5" t="s">
        <v>73</v>
      </c>
      <c r="D29" s="2" t="s">
        <v>117</v>
      </c>
      <c r="E29" s="4" t="s">
        <v>54</v>
      </c>
      <c r="F29" s="4">
        <v>400</v>
      </c>
      <c r="G29" s="11">
        <v>1180</v>
      </c>
      <c r="H29" s="19"/>
      <c r="I29" s="23"/>
      <c r="J29" s="34">
        <f t="shared" si="1"/>
        <v>1180</v>
      </c>
      <c r="K29" s="31">
        <f t="shared" si="2"/>
        <v>0</v>
      </c>
      <c r="L29" s="32"/>
      <c r="M29" s="34">
        <f t="shared" si="4"/>
        <v>23.6</v>
      </c>
      <c r="N29" s="18">
        <f t="shared" si="3"/>
        <v>9440</v>
      </c>
      <c r="O29" s="96"/>
      <c r="P29" s="67">
        <f t="shared" si="0"/>
        <v>0</v>
      </c>
      <c r="Q29" s="60">
        <f>O29*50/1000</f>
        <v>0</v>
      </c>
      <c r="R29" s="135"/>
      <c r="S29" s="135"/>
    </row>
    <row r="30" spans="2:19" ht="15">
      <c r="B30" s="5" t="s">
        <v>22</v>
      </c>
      <c r="C30" s="5" t="s">
        <v>74</v>
      </c>
      <c r="D30" s="2" t="s">
        <v>118</v>
      </c>
      <c r="E30" s="4" t="s">
        <v>54</v>
      </c>
      <c r="F30" s="4">
        <v>400</v>
      </c>
      <c r="G30" s="11">
        <v>1357</v>
      </c>
      <c r="H30" s="19"/>
      <c r="I30" s="23"/>
      <c r="J30" s="34">
        <f t="shared" si="1"/>
        <v>1357</v>
      </c>
      <c r="K30" s="31">
        <f t="shared" si="2"/>
        <v>0</v>
      </c>
      <c r="L30" s="32"/>
      <c r="M30" s="34">
        <f t="shared" si="4"/>
        <v>27.14</v>
      </c>
      <c r="N30" s="18">
        <f t="shared" si="3"/>
        <v>10856</v>
      </c>
      <c r="O30" s="96"/>
      <c r="P30" s="67">
        <f t="shared" si="0"/>
        <v>0</v>
      </c>
      <c r="Q30" s="60">
        <f>O30*55/1000</f>
        <v>0</v>
      </c>
      <c r="R30" s="135"/>
      <c r="S30" s="135"/>
    </row>
    <row r="31" spans="2:19" ht="15">
      <c r="B31" s="5" t="s">
        <v>23</v>
      </c>
      <c r="C31" s="5" t="s">
        <v>62</v>
      </c>
      <c r="D31" s="2" t="s">
        <v>119</v>
      </c>
      <c r="E31" s="4" t="s">
        <v>54</v>
      </c>
      <c r="F31" s="4">
        <v>400</v>
      </c>
      <c r="G31" s="11">
        <v>1468</v>
      </c>
      <c r="H31" s="19"/>
      <c r="I31" s="23"/>
      <c r="J31" s="34">
        <f t="shared" si="1"/>
        <v>1468</v>
      </c>
      <c r="K31" s="31">
        <f aca="true" t="shared" si="5" ref="K31:K63">$K$20</f>
        <v>0</v>
      </c>
      <c r="L31" s="32"/>
      <c r="M31" s="34">
        <f t="shared" si="4"/>
        <v>29.36</v>
      </c>
      <c r="N31" s="18">
        <f t="shared" si="3"/>
        <v>11744</v>
      </c>
      <c r="O31" s="96"/>
      <c r="P31" s="67">
        <f t="shared" si="0"/>
        <v>0</v>
      </c>
      <c r="Q31" s="60">
        <f>O31*60/1000</f>
        <v>0</v>
      </c>
      <c r="R31" s="135"/>
      <c r="S31" s="135"/>
    </row>
    <row r="32" spans="2:19" ht="15">
      <c r="B32" s="5" t="s">
        <v>24</v>
      </c>
      <c r="C32" s="5" t="s">
        <v>75</v>
      </c>
      <c r="D32" s="2" t="s">
        <v>120</v>
      </c>
      <c r="E32" s="4" t="s">
        <v>60</v>
      </c>
      <c r="F32" s="4">
        <v>300</v>
      </c>
      <c r="G32" s="11">
        <v>859</v>
      </c>
      <c r="H32" s="19"/>
      <c r="I32" s="23"/>
      <c r="J32" s="34">
        <f t="shared" si="1"/>
        <v>859</v>
      </c>
      <c r="K32" s="31">
        <f t="shared" si="5"/>
        <v>0</v>
      </c>
      <c r="L32" s="32"/>
      <c r="M32" s="34">
        <f>J32/25</f>
        <v>34.36</v>
      </c>
      <c r="N32" s="18">
        <f t="shared" si="3"/>
        <v>10308</v>
      </c>
      <c r="O32" s="96"/>
      <c r="P32" s="67">
        <f t="shared" si="0"/>
        <v>0</v>
      </c>
      <c r="Q32" s="60">
        <f>O32*70/1000</f>
        <v>0</v>
      </c>
      <c r="R32" s="135"/>
      <c r="S32" s="135"/>
    </row>
    <row r="33" spans="2:19" ht="15">
      <c r="B33" s="5" t="s">
        <v>25</v>
      </c>
      <c r="C33" s="5" t="s">
        <v>76</v>
      </c>
      <c r="D33" s="2" t="s">
        <v>121</v>
      </c>
      <c r="E33" s="4" t="s">
        <v>60</v>
      </c>
      <c r="F33" s="4">
        <v>200</v>
      </c>
      <c r="G33" s="11">
        <v>973</v>
      </c>
      <c r="H33" s="19"/>
      <c r="I33" s="23"/>
      <c r="J33" s="34">
        <f t="shared" si="1"/>
        <v>973</v>
      </c>
      <c r="K33" s="31">
        <f t="shared" si="5"/>
        <v>0</v>
      </c>
      <c r="L33" s="32"/>
      <c r="M33" s="34">
        <f>J33/25</f>
        <v>38.92</v>
      </c>
      <c r="N33" s="18">
        <f t="shared" si="3"/>
        <v>7784</v>
      </c>
      <c r="O33" s="96"/>
      <c r="P33" s="67">
        <f t="shared" si="0"/>
        <v>0</v>
      </c>
      <c r="Q33" s="60">
        <f>O33*80/1000</f>
        <v>0</v>
      </c>
      <c r="R33" s="135"/>
      <c r="S33" s="135"/>
    </row>
    <row r="34" spans="2:19" ht="15">
      <c r="B34" s="5" t="s">
        <v>26</v>
      </c>
      <c r="C34" s="5" t="s">
        <v>77</v>
      </c>
      <c r="D34" s="2" t="s">
        <v>122</v>
      </c>
      <c r="E34" s="4" t="s">
        <v>60</v>
      </c>
      <c r="F34" s="4">
        <v>200</v>
      </c>
      <c r="G34" s="11">
        <v>1084</v>
      </c>
      <c r="H34" s="19"/>
      <c r="I34" s="23"/>
      <c r="J34" s="34">
        <f t="shared" si="1"/>
        <v>1084</v>
      </c>
      <c r="K34" s="31">
        <f t="shared" si="5"/>
        <v>0</v>
      </c>
      <c r="L34" s="32"/>
      <c r="M34" s="34">
        <f>J34/25</f>
        <v>43.36</v>
      </c>
      <c r="N34" s="18">
        <f t="shared" si="3"/>
        <v>8672</v>
      </c>
      <c r="O34" s="96"/>
      <c r="P34" s="67">
        <f t="shared" si="0"/>
        <v>0</v>
      </c>
      <c r="Q34" s="60">
        <f>O34*90/1000</f>
        <v>0</v>
      </c>
      <c r="R34" s="135"/>
      <c r="S34" s="135"/>
    </row>
    <row r="35" spans="2:19" ht="15">
      <c r="B35" s="5" t="s">
        <v>27</v>
      </c>
      <c r="C35" s="5" t="s">
        <v>78</v>
      </c>
      <c r="D35" s="2" t="s">
        <v>123</v>
      </c>
      <c r="E35" s="4" t="s">
        <v>60</v>
      </c>
      <c r="F35" s="4">
        <v>200</v>
      </c>
      <c r="G35" s="11">
        <v>1194</v>
      </c>
      <c r="H35" s="19"/>
      <c r="I35" s="23"/>
      <c r="J35" s="34">
        <f t="shared" si="1"/>
        <v>1194</v>
      </c>
      <c r="K35" s="31">
        <f t="shared" si="5"/>
        <v>0</v>
      </c>
      <c r="L35" s="32"/>
      <c r="M35" s="34">
        <f>J35/25</f>
        <v>47.76</v>
      </c>
      <c r="N35" s="18">
        <f t="shared" si="3"/>
        <v>9552</v>
      </c>
      <c r="O35" s="96"/>
      <c r="P35" s="67">
        <f t="shared" si="0"/>
        <v>0</v>
      </c>
      <c r="Q35" s="60">
        <f>O35*100/1000</f>
        <v>0</v>
      </c>
      <c r="R35" s="135"/>
      <c r="S35" s="135"/>
    </row>
    <row r="36" spans="2:18" ht="15">
      <c r="B36" s="1"/>
      <c r="C36" s="5"/>
      <c r="D36" s="2"/>
      <c r="E36" s="3"/>
      <c r="F36" s="3"/>
      <c r="G36" s="8"/>
      <c r="H36" s="19"/>
      <c r="I36" s="23"/>
      <c r="J36" s="30"/>
      <c r="K36" s="24">
        <f t="shared" si="5"/>
        <v>0</v>
      </c>
      <c r="L36" s="25"/>
      <c r="M36" s="57"/>
      <c r="N36" s="26"/>
      <c r="O36" s="97"/>
      <c r="P36" s="77">
        <f>SUM(P20:P35)</f>
        <v>0</v>
      </c>
      <c r="Q36" s="76">
        <f>SUM(Q20:Q35)</f>
        <v>0</v>
      </c>
      <c r="R36" s="100"/>
    </row>
    <row r="37" spans="2:18" ht="15">
      <c r="B37" s="147" t="s">
        <v>3</v>
      </c>
      <c r="C37" s="148"/>
      <c r="D37" s="148"/>
      <c r="E37" s="148"/>
      <c r="F37" s="148"/>
      <c r="G37" s="149"/>
      <c r="H37" s="42"/>
      <c r="I37" s="47"/>
      <c r="J37" s="54"/>
      <c r="K37" s="49">
        <f t="shared" si="5"/>
        <v>0</v>
      </c>
      <c r="L37" s="50"/>
      <c r="M37" s="55"/>
      <c r="N37" s="51"/>
      <c r="O37" s="72" t="s">
        <v>95</v>
      </c>
      <c r="P37" s="51"/>
      <c r="Q37" s="51"/>
      <c r="R37" s="100"/>
    </row>
    <row r="38" spans="2:18" ht="15">
      <c r="B38" s="1"/>
      <c r="C38" s="5"/>
      <c r="D38" s="2" t="s">
        <v>57</v>
      </c>
      <c r="E38" s="3"/>
      <c r="F38" s="3"/>
      <c r="G38" s="8"/>
      <c r="H38" s="19"/>
      <c r="I38" s="23"/>
      <c r="J38" s="30"/>
      <c r="K38" s="24">
        <f t="shared" si="5"/>
        <v>0</v>
      </c>
      <c r="L38" s="25"/>
      <c r="M38" s="57"/>
      <c r="N38" s="26"/>
      <c r="O38" s="97"/>
      <c r="P38" s="26"/>
      <c r="Q38" s="26"/>
      <c r="R38" s="100"/>
    </row>
    <row r="39" spans="2:19" ht="15">
      <c r="B39" s="5" t="s">
        <v>28</v>
      </c>
      <c r="C39" s="5" t="s">
        <v>64</v>
      </c>
      <c r="D39" s="2" t="s">
        <v>124</v>
      </c>
      <c r="E39" s="4" t="s">
        <v>59</v>
      </c>
      <c r="F39" s="4">
        <v>1200</v>
      </c>
      <c r="G39" s="11">
        <v>455</v>
      </c>
      <c r="H39" s="19"/>
      <c r="I39" s="23"/>
      <c r="J39" s="34">
        <f>G39*(100-K39)/100</f>
        <v>455</v>
      </c>
      <c r="K39" s="31">
        <f t="shared" si="5"/>
        <v>0</v>
      </c>
      <c r="L39" s="32"/>
      <c r="M39" s="34">
        <f aca="true" t="shared" si="6" ref="M39:M44">J39/100</f>
        <v>4.55</v>
      </c>
      <c r="N39" s="16">
        <f>M39*F39</f>
        <v>5460</v>
      </c>
      <c r="O39" s="98"/>
      <c r="P39" s="68">
        <f aca="true" t="shared" si="7" ref="P39:P50">O39*M39</f>
        <v>0</v>
      </c>
      <c r="Q39" s="29">
        <f>O39*5/1000</f>
        <v>0</v>
      </c>
      <c r="R39" s="100"/>
      <c r="S39" s="136"/>
    </row>
    <row r="40" spans="2:19" ht="15">
      <c r="B40" s="5" t="s">
        <v>29</v>
      </c>
      <c r="C40" s="5" t="s">
        <v>65</v>
      </c>
      <c r="D40" s="2" t="s">
        <v>125</v>
      </c>
      <c r="E40" s="4" t="s">
        <v>59</v>
      </c>
      <c r="F40" s="4">
        <v>1200</v>
      </c>
      <c r="G40" s="11">
        <v>619</v>
      </c>
      <c r="H40" s="19"/>
      <c r="I40" s="23"/>
      <c r="J40" s="34">
        <f t="shared" si="1"/>
        <v>619</v>
      </c>
      <c r="K40" s="31">
        <f t="shared" si="5"/>
        <v>0</v>
      </c>
      <c r="L40" s="32"/>
      <c r="M40" s="34">
        <f t="shared" si="6"/>
        <v>6.19</v>
      </c>
      <c r="N40" s="16">
        <f aca="true" t="shared" si="8" ref="N40:N50">M40*F40</f>
        <v>7428</v>
      </c>
      <c r="O40" s="98"/>
      <c r="P40" s="68">
        <f t="shared" si="7"/>
        <v>0</v>
      </c>
      <c r="Q40" s="29">
        <f>O40*10/1000</f>
        <v>0</v>
      </c>
      <c r="R40" s="136"/>
      <c r="S40" s="136"/>
    </row>
    <row r="41" spans="2:19" ht="15">
      <c r="B41" s="5" t="s">
        <v>30</v>
      </c>
      <c r="C41" s="5" t="s">
        <v>66</v>
      </c>
      <c r="D41" s="2" t="s">
        <v>126</v>
      </c>
      <c r="E41" s="4" t="s">
        <v>59</v>
      </c>
      <c r="F41" s="4">
        <v>1200</v>
      </c>
      <c r="G41" s="11">
        <v>834</v>
      </c>
      <c r="H41" s="19"/>
      <c r="I41" s="23"/>
      <c r="J41" s="34">
        <f>G41*(100-K41)/100</f>
        <v>834</v>
      </c>
      <c r="K41" s="31">
        <f t="shared" si="5"/>
        <v>0</v>
      </c>
      <c r="L41" s="32"/>
      <c r="M41" s="34">
        <f t="shared" si="6"/>
        <v>8.34</v>
      </c>
      <c r="N41" s="16">
        <f t="shared" si="8"/>
        <v>10008</v>
      </c>
      <c r="O41" s="98"/>
      <c r="P41" s="68">
        <f t="shared" si="7"/>
        <v>0</v>
      </c>
      <c r="Q41" s="29">
        <f>O41*15/1000</f>
        <v>0</v>
      </c>
      <c r="R41" s="136"/>
      <c r="S41" s="136"/>
    </row>
    <row r="42" spans="2:19" ht="15">
      <c r="B42" s="5" t="s">
        <v>31</v>
      </c>
      <c r="C42" s="5" t="s">
        <v>67</v>
      </c>
      <c r="D42" s="2" t="s">
        <v>127</v>
      </c>
      <c r="E42" s="4" t="s">
        <v>59</v>
      </c>
      <c r="F42" s="4">
        <v>1000</v>
      </c>
      <c r="G42" s="11">
        <v>1052</v>
      </c>
      <c r="H42" s="19"/>
      <c r="I42" s="23"/>
      <c r="J42" s="34">
        <f>G42*(100-K42)/100</f>
        <v>1052</v>
      </c>
      <c r="K42" s="31">
        <f t="shared" si="5"/>
        <v>0</v>
      </c>
      <c r="L42" s="32"/>
      <c r="M42" s="34">
        <f t="shared" si="6"/>
        <v>10.52</v>
      </c>
      <c r="N42" s="16">
        <f t="shared" si="8"/>
        <v>10520</v>
      </c>
      <c r="O42" s="98"/>
      <c r="P42" s="68">
        <f t="shared" si="7"/>
        <v>0</v>
      </c>
      <c r="Q42" s="29">
        <f>O42*20/1000</f>
        <v>0</v>
      </c>
      <c r="R42" s="136"/>
      <c r="S42" s="136"/>
    </row>
    <row r="43" spans="2:19" ht="12" customHeight="1">
      <c r="B43" s="5" t="s">
        <v>32</v>
      </c>
      <c r="C43" s="5" t="s">
        <v>68</v>
      </c>
      <c r="D43" s="2" t="s">
        <v>128</v>
      </c>
      <c r="E43" s="4" t="s">
        <v>59</v>
      </c>
      <c r="F43" s="4">
        <v>800</v>
      </c>
      <c r="G43" s="11">
        <v>1270</v>
      </c>
      <c r="H43" s="19"/>
      <c r="I43" s="23"/>
      <c r="J43" s="34">
        <f>G43*(100-K43)/100</f>
        <v>1270</v>
      </c>
      <c r="K43" s="31">
        <f t="shared" si="5"/>
        <v>0</v>
      </c>
      <c r="L43" s="32"/>
      <c r="M43" s="34">
        <f t="shared" si="6"/>
        <v>12.7</v>
      </c>
      <c r="N43" s="16">
        <f t="shared" si="8"/>
        <v>10160</v>
      </c>
      <c r="O43" s="98"/>
      <c r="P43" s="68">
        <f t="shared" si="7"/>
        <v>0</v>
      </c>
      <c r="Q43" s="29">
        <f>O43*25/1000</f>
        <v>0</v>
      </c>
      <c r="R43" s="136"/>
      <c r="S43" s="136"/>
    </row>
    <row r="44" spans="2:19" ht="15">
      <c r="B44" s="74">
        <v>330</v>
      </c>
      <c r="C44" s="5" t="s">
        <v>69</v>
      </c>
      <c r="D44" s="2" t="s">
        <v>129</v>
      </c>
      <c r="E44" s="4" t="s">
        <v>59</v>
      </c>
      <c r="F44" s="4">
        <v>800</v>
      </c>
      <c r="G44" s="11">
        <v>1487</v>
      </c>
      <c r="H44" s="19"/>
      <c r="I44" s="23"/>
      <c r="J44" s="34">
        <f>G44*(100-K44)/100</f>
        <v>1487</v>
      </c>
      <c r="K44" s="31">
        <f t="shared" si="5"/>
        <v>0</v>
      </c>
      <c r="L44" s="32"/>
      <c r="M44" s="34">
        <f t="shared" si="6"/>
        <v>14.87</v>
      </c>
      <c r="N44" s="16">
        <f t="shared" si="8"/>
        <v>11896</v>
      </c>
      <c r="O44" s="98"/>
      <c r="P44" s="68">
        <f t="shared" si="7"/>
        <v>0</v>
      </c>
      <c r="Q44" s="29">
        <f>O44*30/1000</f>
        <v>0</v>
      </c>
      <c r="R44" s="136"/>
      <c r="S44" s="136"/>
    </row>
    <row r="45" spans="2:19" ht="15">
      <c r="B45" s="5" t="s">
        <v>97</v>
      </c>
      <c r="C45" s="5" t="s">
        <v>70</v>
      </c>
      <c r="D45" s="2" t="s">
        <v>130</v>
      </c>
      <c r="E45" s="4" t="s">
        <v>54</v>
      </c>
      <c r="F45" s="4">
        <v>500</v>
      </c>
      <c r="G45" s="11">
        <v>871</v>
      </c>
      <c r="H45" s="19"/>
      <c r="I45" s="23"/>
      <c r="J45" s="34">
        <f>G45*(100-K45)/100</f>
        <v>871</v>
      </c>
      <c r="K45" s="31">
        <f t="shared" si="5"/>
        <v>0</v>
      </c>
      <c r="L45" s="32"/>
      <c r="M45" s="34">
        <f aca="true" t="shared" si="9" ref="M45:M50">J45/50</f>
        <v>17.42</v>
      </c>
      <c r="N45" s="16">
        <f t="shared" si="8"/>
        <v>8710</v>
      </c>
      <c r="O45" s="98"/>
      <c r="P45" s="68">
        <f t="shared" si="7"/>
        <v>0</v>
      </c>
      <c r="Q45" s="29">
        <f>O45*35/1000</f>
        <v>0</v>
      </c>
      <c r="R45" s="136"/>
      <c r="S45" s="136"/>
    </row>
    <row r="46" spans="2:19" ht="12.75" customHeight="1">
      <c r="B46" s="5" t="s">
        <v>33</v>
      </c>
      <c r="C46" s="5" t="s">
        <v>71</v>
      </c>
      <c r="D46" s="2" t="s">
        <v>131</v>
      </c>
      <c r="E46" s="4" t="s">
        <v>54</v>
      </c>
      <c r="F46" s="4">
        <v>500</v>
      </c>
      <c r="G46" s="11">
        <v>978</v>
      </c>
      <c r="H46" s="19"/>
      <c r="I46" s="23"/>
      <c r="J46" s="34">
        <f t="shared" si="1"/>
        <v>978</v>
      </c>
      <c r="K46" s="31">
        <f t="shared" si="5"/>
        <v>0</v>
      </c>
      <c r="L46" s="32"/>
      <c r="M46" s="34">
        <f t="shared" si="9"/>
        <v>19.56</v>
      </c>
      <c r="N46" s="16">
        <f t="shared" si="8"/>
        <v>9780</v>
      </c>
      <c r="O46" s="98"/>
      <c r="P46" s="68">
        <f t="shared" si="7"/>
        <v>0</v>
      </c>
      <c r="Q46" s="29">
        <f>O46*40/1000</f>
        <v>0</v>
      </c>
      <c r="R46" s="136"/>
      <c r="S46" s="136"/>
    </row>
    <row r="47" spans="2:19" ht="15">
      <c r="B47" s="5" t="s">
        <v>34</v>
      </c>
      <c r="C47" s="5" t="s">
        <v>72</v>
      </c>
      <c r="D47" s="2" t="s">
        <v>132</v>
      </c>
      <c r="E47" s="4" t="s">
        <v>54</v>
      </c>
      <c r="F47" s="4">
        <v>400</v>
      </c>
      <c r="G47" s="11">
        <v>1090</v>
      </c>
      <c r="H47" s="19"/>
      <c r="I47" s="23"/>
      <c r="J47" s="34">
        <f t="shared" si="1"/>
        <v>1090</v>
      </c>
      <c r="K47" s="31">
        <f t="shared" si="5"/>
        <v>0</v>
      </c>
      <c r="L47" s="32"/>
      <c r="M47" s="34">
        <f t="shared" si="9"/>
        <v>21.8</v>
      </c>
      <c r="N47" s="16">
        <f t="shared" si="8"/>
        <v>8720</v>
      </c>
      <c r="O47" s="98"/>
      <c r="P47" s="68">
        <f t="shared" si="7"/>
        <v>0</v>
      </c>
      <c r="Q47" s="29">
        <f>O47*45/1000</f>
        <v>0</v>
      </c>
      <c r="R47" s="136"/>
      <c r="S47" s="136"/>
    </row>
    <row r="48" spans="2:19" ht="15">
      <c r="B48" s="5" t="s">
        <v>35</v>
      </c>
      <c r="C48" s="5" t="s">
        <v>73</v>
      </c>
      <c r="D48" s="2" t="s">
        <v>133</v>
      </c>
      <c r="E48" s="4" t="s">
        <v>54</v>
      </c>
      <c r="F48" s="4">
        <v>400</v>
      </c>
      <c r="G48" s="11">
        <v>1200</v>
      </c>
      <c r="H48" s="19"/>
      <c r="I48" s="23"/>
      <c r="J48" s="34">
        <f t="shared" si="1"/>
        <v>1200</v>
      </c>
      <c r="K48" s="31">
        <f t="shared" si="5"/>
        <v>0</v>
      </c>
      <c r="L48" s="32"/>
      <c r="M48" s="34">
        <f t="shared" si="9"/>
        <v>24</v>
      </c>
      <c r="N48" s="16">
        <f t="shared" si="8"/>
        <v>9600</v>
      </c>
      <c r="O48" s="98"/>
      <c r="P48" s="68">
        <f t="shared" si="7"/>
        <v>0</v>
      </c>
      <c r="Q48" s="29">
        <f>O48*50/1000</f>
        <v>0</v>
      </c>
      <c r="R48" s="136"/>
      <c r="S48" s="136"/>
    </row>
    <row r="49" spans="2:19" ht="15">
      <c r="B49" s="5" t="s">
        <v>36</v>
      </c>
      <c r="C49" s="5" t="s">
        <v>74</v>
      </c>
      <c r="D49" s="2" t="s">
        <v>134</v>
      </c>
      <c r="E49" s="4" t="s">
        <v>54</v>
      </c>
      <c r="F49" s="4">
        <v>400</v>
      </c>
      <c r="G49" s="11">
        <v>1306</v>
      </c>
      <c r="H49" s="19"/>
      <c r="I49" s="23"/>
      <c r="J49" s="34">
        <f t="shared" si="1"/>
        <v>1306</v>
      </c>
      <c r="K49" s="31">
        <f t="shared" si="5"/>
        <v>0</v>
      </c>
      <c r="L49" s="32"/>
      <c r="M49" s="34">
        <f t="shared" si="9"/>
        <v>26.12</v>
      </c>
      <c r="N49" s="16">
        <f t="shared" si="8"/>
        <v>10448</v>
      </c>
      <c r="O49" s="98"/>
      <c r="P49" s="68">
        <f t="shared" si="7"/>
        <v>0</v>
      </c>
      <c r="Q49" s="29">
        <f>O49*55/1000</f>
        <v>0</v>
      </c>
      <c r="R49" s="136"/>
      <c r="S49" s="136"/>
    </row>
    <row r="50" spans="2:19" ht="15">
      <c r="B50" s="5" t="s">
        <v>37</v>
      </c>
      <c r="C50" s="5" t="s">
        <v>62</v>
      </c>
      <c r="D50" s="2" t="s">
        <v>135</v>
      </c>
      <c r="E50" s="4" t="s">
        <v>54</v>
      </c>
      <c r="F50" s="4">
        <v>400</v>
      </c>
      <c r="G50" s="11">
        <v>1418</v>
      </c>
      <c r="H50" s="19"/>
      <c r="I50" s="23"/>
      <c r="J50" s="34">
        <f t="shared" si="1"/>
        <v>1418</v>
      </c>
      <c r="K50" s="31">
        <f t="shared" si="5"/>
        <v>0</v>
      </c>
      <c r="L50" s="32"/>
      <c r="M50" s="34">
        <f t="shared" si="9"/>
        <v>28.36</v>
      </c>
      <c r="N50" s="16">
        <f t="shared" si="8"/>
        <v>11344</v>
      </c>
      <c r="O50" s="98"/>
      <c r="P50" s="68">
        <f t="shared" si="7"/>
        <v>0</v>
      </c>
      <c r="Q50" s="29">
        <f>O50*60/1000</f>
        <v>0</v>
      </c>
      <c r="R50" s="136"/>
      <c r="S50" s="136"/>
    </row>
    <row r="51" spans="2:18" ht="15">
      <c r="B51" s="1"/>
      <c r="C51" s="5"/>
      <c r="D51" s="2"/>
      <c r="E51" s="3"/>
      <c r="F51" s="3"/>
      <c r="G51" s="7"/>
      <c r="H51" s="19"/>
      <c r="I51" s="23"/>
      <c r="J51" s="30"/>
      <c r="K51" s="24">
        <f t="shared" si="5"/>
        <v>0</v>
      </c>
      <c r="L51" s="25"/>
      <c r="M51" s="57"/>
      <c r="N51" s="26"/>
      <c r="O51" s="97"/>
      <c r="P51" s="77">
        <f>SUM(P39:P50)</f>
        <v>0</v>
      </c>
      <c r="Q51" s="76">
        <f>SUM(Q39:Q50)</f>
        <v>0</v>
      </c>
      <c r="R51" s="100"/>
    </row>
    <row r="52" spans="2:17" ht="14.25">
      <c r="B52" s="147" t="s">
        <v>4</v>
      </c>
      <c r="C52" s="148"/>
      <c r="D52" s="148"/>
      <c r="E52" s="148"/>
      <c r="F52" s="148"/>
      <c r="G52" s="149"/>
      <c r="H52" s="42"/>
      <c r="I52" s="47"/>
      <c r="J52" s="54"/>
      <c r="K52" s="49">
        <f t="shared" si="5"/>
        <v>0</v>
      </c>
      <c r="L52" s="50"/>
      <c r="M52" s="55"/>
      <c r="N52" s="51"/>
      <c r="O52" s="72" t="s">
        <v>96</v>
      </c>
      <c r="P52" s="51"/>
      <c r="Q52" s="51"/>
    </row>
    <row r="53" spans="2:17" ht="12.75">
      <c r="B53" s="1"/>
      <c r="C53" s="5"/>
      <c r="D53" s="2" t="s">
        <v>57</v>
      </c>
      <c r="E53" s="3"/>
      <c r="F53" s="3"/>
      <c r="G53" s="8"/>
      <c r="H53" s="19"/>
      <c r="I53" s="23"/>
      <c r="J53" s="30"/>
      <c r="K53" s="31">
        <f t="shared" si="5"/>
        <v>0</v>
      </c>
      <c r="L53" s="32"/>
      <c r="M53" s="57"/>
      <c r="N53" s="26"/>
      <c r="O53" s="97"/>
      <c r="P53" s="26"/>
      <c r="Q53" s="26"/>
    </row>
    <row r="54" spans="2:17" ht="12.75">
      <c r="B54" s="5" t="s">
        <v>38</v>
      </c>
      <c r="C54" s="5" t="s">
        <v>73</v>
      </c>
      <c r="D54" s="2" t="s">
        <v>136</v>
      </c>
      <c r="E54" s="4" t="s">
        <v>51</v>
      </c>
      <c r="F54" s="4">
        <v>240</v>
      </c>
      <c r="G54" s="11">
        <v>1190</v>
      </c>
      <c r="H54" s="19"/>
      <c r="I54" s="23"/>
      <c r="J54" s="34">
        <f>G54*(100-K54)/100</f>
        <v>1190</v>
      </c>
      <c r="K54" s="31">
        <f t="shared" si="5"/>
        <v>0</v>
      </c>
      <c r="L54" s="32"/>
      <c r="M54" s="34">
        <f>J54/20</f>
        <v>59.5</v>
      </c>
      <c r="N54" s="16">
        <f>M54*F54</f>
        <v>14280</v>
      </c>
      <c r="O54" s="98"/>
      <c r="P54" s="68">
        <f aca="true" t="shared" si="10" ref="P54:P63">O54*M54</f>
        <v>0</v>
      </c>
      <c r="Q54" s="29">
        <f>O54*50/1000</f>
        <v>0</v>
      </c>
    </row>
    <row r="55" spans="2:17" ht="12.75">
      <c r="B55" s="5" t="s">
        <v>39</v>
      </c>
      <c r="C55" s="5" t="s">
        <v>79</v>
      </c>
      <c r="D55" s="2" t="s">
        <v>137</v>
      </c>
      <c r="E55" s="4" t="s">
        <v>51</v>
      </c>
      <c r="F55" s="4">
        <v>240</v>
      </c>
      <c r="G55" s="11">
        <v>1465</v>
      </c>
      <c r="H55" s="19"/>
      <c r="I55" s="23"/>
      <c r="J55" s="34">
        <f t="shared" si="1"/>
        <v>1465</v>
      </c>
      <c r="K55" s="31">
        <f t="shared" si="5"/>
        <v>0</v>
      </c>
      <c r="L55" s="32"/>
      <c r="M55" s="34">
        <f>J55/20</f>
        <v>73.25</v>
      </c>
      <c r="N55" s="16">
        <f aca="true" t="shared" si="11" ref="N55:N63">M55*F55</f>
        <v>17580</v>
      </c>
      <c r="O55" s="98"/>
      <c r="P55" s="68">
        <f t="shared" si="10"/>
        <v>0</v>
      </c>
      <c r="Q55" s="29">
        <f>O55*75/1000</f>
        <v>0</v>
      </c>
    </row>
    <row r="56" spans="2:17" ht="12.75">
      <c r="B56" s="5" t="s">
        <v>40</v>
      </c>
      <c r="C56" s="5" t="s">
        <v>78</v>
      </c>
      <c r="D56" s="2" t="s">
        <v>138</v>
      </c>
      <c r="E56" s="4" t="s">
        <v>51</v>
      </c>
      <c r="F56" s="4">
        <v>200</v>
      </c>
      <c r="G56" s="11">
        <v>1980</v>
      </c>
      <c r="H56" s="19"/>
      <c r="I56" s="23"/>
      <c r="J56" s="34">
        <f t="shared" si="1"/>
        <v>1980</v>
      </c>
      <c r="K56" s="31">
        <f t="shared" si="5"/>
        <v>0</v>
      </c>
      <c r="L56" s="32"/>
      <c r="M56" s="34">
        <f>J56/20</f>
        <v>99</v>
      </c>
      <c r="N56" s="16">
        <f t="shared" si="11"/>
        <v>19800</v>
      </c>
      <c r="O56" s="98"/>
      <c r="P56" s="68">
        <f t="shared" si="10"/>
        <v>0</v>
      </c>
      <c r="Q56" s="29">
        <f>O56*100/1000</f>
        <v>0</v>
      </c>
    </row>
    <row r="57" spans="2:17" ht="12.75">
      <c r="B57" s="5" t="s">
        <v>41</v>
      </c>
      <c r="C57" s="5" t="s">
        <v>80</v>
      </c>
      <c r="D57" s="2" t="s">
        <v>139</v>
      </c>
      <c r="E57" s="4" t="s">
        <v>51</v>
      </c>
      <c r="F57" s="4">
        <v>160</v>
      </c>
      <c r="G57" s="11">
        <v>2575</v>
      </c>
      <c r="H57" s="19"/>
      <c r="I57" s="23"/>
      <c r="J57" s="34">
        <f aca="true" t="shared" si="12" ref="J57:J63">G57*(100-K57)/100</f>
        <v>2575</v>
      </c>
      <c r="K57" s="31">
        <f t="shared" si="5"/>
        <v>0</v>
      </c>
      <c r="L57" s="32"/>
      <c r="M57" s="34">
        <f>J57/20</f>
        <v>128.75</v>
      </c>
      <c r="N57" s="16">
        <f t="shared" si="11"/>
        <v>20600</v>
      </c>
      <c r="O57" s="98"/>
      <c r="P57" s="68">
        <f t="shared" si="10"/>
        <v>0</v>
      </c>
      <c r="Q57" s="29">
        <f>O57*150/1000</f>
        <v>0</v>
      </c>
    </row>
    <row r="58" spans="2:17" ht="12.75">
      <c r="B58" s="5" t="s">
        <v>42</v>
      </c>
      <c r="C58" s="5" t="s">
        <v>63</v>
      </c>
      <c r="D58" s="2" t="s">
        <v>140</v>
      </c>
      <c r="E58" s="4" t="s">
        <v>52</v>
      </c>
      <c r="F58" s="4">
        <v>100</v>
      </c>
      <c r="G58" s="11">
        <v>1740</v>
      </c>
      <c r="H58" s="19"/>
      <c r="I58" s="23"/>
      <c r="J58" s="34">
        <f t="shared" si="12"/>
        <v>1740</v>
      </c>
      <c r="K58" s="31">
        <f t="shared" si="5"/>
        <v>0</v>
      </c>
      <c r="L58" s="32"/>
      <c r="M58" s="34">
        <f>J58/10</f>
        <v>174</v>
      </c>
      <c r="N58" s="16">
        <f t="shared" si="11"/>
        <v>17400</v>
      </c>
      <c r="O58" s="98"/>
      <c r="P58" s="68">
        <f t="shared" si="10"/>
        <v>0</v>
      </c>
      <c r="Q58" s="29">
        <f>O58*200/1000</f>
        <v>0</v>
      </c>
    </row>
    <row r="59" spans="2:17" ht="12.75">
      <c r="B59" s="5" t="s">
        <v>43</v>
      </c>
      <c r="C59" s="5" t="s">
        <v>81</v>
      </c>
      <c r="D59" s="2" t="s">
        <v>141</v>
      </c>
      <c r="E59" s="4" t="s">
        <v>52</v>
      </c>
      <c r="F59" s="4">
        <v>80</v>
      </c>
      <c r="G59" s="11">
        <v>1950</v>
      </c>
      <c r="H59" s="19"/>
      <c r="I59" s="23"/>
      <c r="J59" s="34">
        <f t="shared" si="12"/>
        <v>1950</v>
      </c>
      <c r="K59" s="31">
        <f t="shared" si="5"/>
        <v>0</v>
      </c>
      <c r="L59" s="32"/>
      <c r="M59" s="34">
        <f>J59/10</f>
        <v>195</v>
      </c>
      <c r="N59" s="16">
        <f t="shared" si="11"/>
        <v>15600</v>
      </c>
      <c r="O59" s="98"/>
      <c r="P59" s="68">
        <f t="shared" si="10"/>
        <v>0</v>
      </c>
      <c r="Q59" s="29">
        <f>O59*250/1000</f>
        <v>0</v>
      </c>
    </row>
    <row r="60" spans="2:17" ht="12.75">
      <c r="B60" s="5" t="s">
        <v>44</v>
      </c>
      <c r="C60" s="5" t="s">
        <v>82</v>
      </c>
      <c r="D60" s="2" t="s">
        <v>142</v>
      </c>
      <c r="E60" s="4" t="s">
        <v>52</v>
      </c>
      <c r="F60" s="4">
        <v>80</v>
      </c>
      <c r="G60" s="11">
        <v>2310</v>
      </c>
      <c r="H60" s="19"/>
      <c r="I60" s="23"/>
      <c r="J60" s="34">
        <f t="shared" si="12"/>
        <v>2310</v>
      </c>
      <c r="K60" s="31">
        <f t="shared" si="5"/>
        <v>0</v>
      </c>
      <c r="L60" s="32"/>
      <c r="M60" s="34">
        <f>J60/10</f>
        <v>231</v>
      </c>
      <c r="N60" s="16">
        <f t="shared" si="11"/>
        <v>18480</v>
      </c>
      <c r="O60" s="98"/>
      <c r="P60" s="68">
        <f t="shared" si="10"/>
        <v>0</v>
      </c>
      <c r="Q60" s="29">
        <f>O60*300/1000</f>
        <v>0</v>
      </c>
    </row>
    <row r="61" spans="2:17" ht="12.75">
      <c r="B61" s="5" t="s">
        <v>45</v>
      </c>
      <c r="C61" s="5" t="s">
        <v>83</v>
      </c>
      <c r="D61" s="2" t="s">
        <v>143</v>
      </c>
      <c r="E61" s="4" t="s">
        <v>52</v>
      </c>
      <c r="F61" s="4">
        <v>80</v>
      </c>
      <c r="G61" s="11">
        <v>2672</v>
      </c>
      <c r="H61" s="19"/>
      <c r="I61" s="23"/>
      <c r="J61" s="34">
        <f t="shared" si="12"/>
        <v>2672</v>
      </c>
      <c r="K61" s="31">
        <f t="shared" si="5"/>
        <v>0</v>
      </c>
      <c r="L61" s="32"/>
      <c r="M61" s="34">
        <f>J61/10</f>
        <v>267.2</v>
      </c>
      <c r="N61" s="16">
        <f t="shared" si="11"/>
        <v>21376</v>
      </c>
      <c r="O61" s="98"/>
      <c r="P61" s="68">
        <f t="shared" si="10"/>
        <v>0</v>
      </c>
      <c r="Q61" s="29">
        <f>O61*350/1000</f>
        <v>0</v>
      </c>
    </row>
    <row r="62" spans="2:17" ht="12.75">
      <c r="B62" s="5" t="s">
        <v>46</v>
      </c>
      <c r="C62" s="5" t="s">
        <v>84</v>
      </c>
      <c r="D62" s="2" t="s">
        <v>144</v>
      </c>
      <c r="E62" s="4" t="s">
        <v>53</v>
      </c>
      <c r="F62" s="4">
        <v>40</v>
      </c>
      <c r="G62" s="11">
        <v>1515</v>
      </c>
      <c r="H62" s="19"/>
      <c r="I62" s="23"/>
      <c r="J62" s="34">
        <f t="shared" si="12"/>
        <v>1515</v>
      </c>
      <c r="K62" s="31">
        <f t="shared" si="5"/>
        <v>0</v>
      </c>
      <c r="L62" s="32"/>
      <c r="M62" s="34">
        <f>J62/5</f>
        <v>303</v>
      </c>
      <c r="N62" s="16">
        <f t="shared" si="11"/>
        <v>12120</v>
      </c>
      <c r="O62" s="98"/>
      <c r="P62" s="68">
        <f t="shared" si="10"/>
        <v>0</v>
      </c>
      <c r="Q62" s="29">
        <f>O62*400/1000</f>
        <v>0</v>
      </c>
    </row>
    <row r="63" spans="2:17" ht="12" customHeight="1">
      <c r="B63" s="83" t="s">
        <v>47</v>
      </c>
      <c r="C63" s="83" t="s">
        <v>85</v>
      </c>
      <c r="D63" s="84" t="s">
        <v>145</v>
      </c>
      <c r="E63" s="85" t="s">
        <v>53</v>
      </c>
      <c r="F63" s="85">
        <v>40</v>
      </c>
      <c r="G63" s="86">
        <v>1815</v>
      </c>
      <c r="H63" s="19"/>
      <c r="I63" s="87"/>
      <c r="J63" s="36">
        <f t="shared" si="12"/>
        <v>1815</v>
      </c>
      <c r="K63" s="31">
        <f t="shared" si="5"/>
        <v>0</v>
      </c>
      <c r="L63" s="32"/>
      <c r="M63" s="36">
        <f>J63/5</f>
        <v>363</v>
      </c>
      <c r="N63" s="16">
        <f t="shared" si="11"/>
        <v>14520</v>
      </c>
      <c r="O63" s="98"/>
      <c r="P63" s="68">
        <f t="shared" si="10"/>
        <v>0</v>
      </c>
      <c r="Q63" s="29">
        <f>O63*500/1000</f>
        <v>0</v>
      </c>
    </row>
    <row r="64" spans="2:17" ht="12" customHeight="1">
      <c r="B64" s="5"/>
      <c r="C64" s="5"/>
      <c r="D64" s="2"/>
      <c r="E64" s="88"/>
      <c r="F64" s="88"/>
      <c r="G64" s="89"/>
      <c r="H64" s="90"/>
      <c r="I64" s="23"/>
      <c r="J64" s="82"/>
      <c r="K64" s="91"/>
      <c r="L64" s="92"/>
      <c r="M64" s="82"/>
      <c r="N64" s="16"/>
      <c r="O64" s="98"/>
      <c r="P64" s="68">
        <f>SUM(P54:P63)</f>
        <v>0</v>
      </c>
      <c r="Q64" s="29">
        <f>SUM(Q54:Q63)</f>
        <v>0</v>
      </c>
    </row>
    <row r="65" spans="15:17" ht="17.25" customHeight="1">
      <c r="O65" s="66" t="s">
        <v>89</v>
      </c>
      <c r="P65" s="93">
        <f>SUM(P17+P36+P51+P64)</f>
        <v>0</v>
      </c>
      <c r="Q65" s="94">
        <f>SUM(Q17+Q36+Q51+Q64)</f>
        <v>0</v>
      </c>
    </row>
    <row r="66" spans="2:17" ht="15.75">
      <c r="B66" s="139" t="s">
        <v>149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</row>
    <row r="67" spans="2:17" ht="12.75">
      <c r="B67" s="79" t="s">
        <v>101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78"/>
      <c r="Q67" s="78"/>
    </row>
    <row r="68" spans="2:15" ht="12.75">
      <c r="B68" s="81" t="s">
        <v>102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 ht="12.75">
      <c r="B69" s="81" t="s">
        <v>104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 ht="12.75">
      <c r="B70" s="81" t="s">
        <v>103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</sheetData>
  <sheetProtection password="CF69" sheet="1" selectLockedCells="1"/>
  <mergeCells count="10">
    <mergeCell ref="B3:Q3"/>
    <mergeCell ref="B66:Q66"/>
    <mergeCell ref="D4:N4"/>
    <mergeCell ref="M7:N7"/>
    <mergeCell ref="N6:O6"/>
    <mergeCell ref="B6:G6"/>
    <mergeCell ref="B52:G52"/>
    <mergeCell ref="B7:G7"/>
    <mergeCell ref="B37:G37"/>
    <mergeCell ref="B18:G18"/>
  </mergeCells>
  <printOptions/>
  <pageMargins left="0.25" right="0.25" top="0.6" bottom="0.41" header="0.3" footer="0.2"/>
  <pageSetup fitToHeight="1" fitToWidth="1" horizontalDpi="600" verticalDpi="600" orientation="landscape" paperSize="9" scale="52" r:id="rId2"/>
  <ignoredErrors>
    <ignoredError sqref="B20:B35 B39:B43 B54:B63 B45:B5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remshin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tip-top</dc:creator>
  <cp:keywords/>
  <dc:description/>
  <cp:lastModifiedBy>u1</cp:lastModifiedBy>
  <cp:lastPrinted>2023-09-15T06:26:10Z</cp:lastPrinted>
  <dcterms:created xsi:type="dcterms:W3CDTF">2005-08-17T07:40:02Z</dcterms:created>
  <dcterms:modified xsi:type="dcterms:W3CDTF">2024-02-13T05:06:31Z</dcterms:modified>
  <cp:category/>
  <cp:version/>
  <cp:contentType/>
  <cp:contentStatus/>
</cp:coreProperties>
</file>